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<sst xmlns="http://schemas.openxmlformats.org/spreadsheetml/2006/main" count="125" uniqueCount="122">
  <si>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</si>
  <si>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</si>
  <si>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</si>
  <si>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</si>
  <si>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</si>
  <si>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</si>
  <si>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</si>
  <si>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</si>
  <si>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</si>
  <si>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</si>
  <si>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</si>
  <si>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</si>
  <si>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</si>
  <si>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</si>
  <si>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</si>
  <si>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</si>
  <si>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</si>
  <si>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</si>
  <si>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</si>
  <si>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</si>
  <si>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</si>
  <si>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</si>
  <si>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</si>
  <si>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</si>
  <si>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</si>
  <si>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</si>
  <si>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</si>
  <si>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</si>
  <si>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</si>
  <si>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</si>
  <si>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</si>
  <si>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</si>
  <si>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</si>
  <si>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</si>
  <si>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</si>
  <si>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</si>
  <si>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</si>
  <si>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</si>
  <si>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</si>
  <si>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</si>
  <si>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</si>
  <si>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</si>
  <si>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</si>
  <si>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</si>
  <si>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</si>
  <si>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</si>
  <si>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</si>
  <si>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</si>
  <si>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</si>
  <si>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</si>
  <si>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</si>
  <si>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</si>
  <si>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</si>
  <si>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</si>
  <si>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</si>
  <si>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</si>
  <si>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</si>
  <si>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</si>
  <si>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</si>
  <si>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</si>
  <si>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</si>
  <si>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</si>
  <si>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</si>
  <si>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</si>
  <si>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</si>
  <si>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</si>
  <si>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</si>
  <si>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</si>
  <si>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</si>
  <si>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</si>
  <si>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</si>
  <si>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</si>
  <si>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</si>
  <si>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</si>
  <si>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</si>
  <si>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</si>
  <si>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</si>
  <si>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</si>
  <si>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</si>
  <si>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</si>
  <si>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</si>
  <si>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</si>
  <si>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</si>
  <si>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</si>
  <si>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</si>
  <si>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</si>
  <si>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</si>
  <si>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</si>
  <si>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</si>
  <si>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</si>
  <si>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</si>
  <si>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</si>
  <si>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</si>
  <si>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</si>
  <si>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</si>
  <si>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</si>
  <si>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</si>
  <si>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</si>
  <si>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</si>
  <si>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</si>
  <si>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</si>
  <si>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</si>
  <si>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</si>
  <si>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</si>
  <si>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</si>
  <si>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</si>
  <si>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</si>
  <si>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</si>
  <si>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</si>
  <si>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</si>
  <si>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</si>
  <si>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</si>
  <si>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</si>
  <si>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</si>
  <si>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</si>
  <si>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</si>
  <si>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</si>
  <si>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</si>
  <si>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</si>
  <si>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</si>
  <si>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</si>
  <si>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Профінансовано станом на 18.11.16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</si>
</sst>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4" fillId="0" borderId="13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21" sqref="AD21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86" t="s">
        <v>10</v>
      </c>
      <c r="B1" s="86"/>
      <c r="C1" s="86"/>
      <c r="D1" s="86"/>
      <c r="E1" s="86"/>
      <c r="F1" s="86"/>
      <c r="G1" s="86"/>
      <c r="H1" s="86"/>
    </row>
    <row r="2" spans="1:8" ht="20.25" customHeight="1">
      <c r="A2" s="87" t="s">
        <v>11</v>
      </c>
      <c r="B2" s="87"/>
      <c r="C2" s="87"/>
      <c r="D2" s="87"/>
      <c r="E2" s="87"/>
      <c r="F2" s="87"/>
      <c r="G2" s="87"/>
      <c r="H2" s="87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9" t="s">
        <v>7</v>
      </c>
      <c r="B4" s="12"/>
      <c r="C4" s="89" t="s">
        <v>13</v>
      </c>
      <c r="D4" s="88" t="s">
        <v>14</v>
      </c>
      <c r="E4" s="88" t="s">
        <v>0</v>
      </c>
      <c r="F4" s="88" t="s">
        <v>1</v>
      </c>
      <c r="G4" s="14" t="s">
        <v>2</v>
      </c>
      <c r="H4" s="88" t="s">
        <v>121</v>
      </c>
      <c r="I4" s="90" t="s">
        <v>41</v>
      </c>
      <c r="J4" s="90" t="s">
        <v>116</v>
      </c>
      <c r="K4" s="93" t="s">
        <v>117</v>
      </c>
      <c r="L4" s="90" t="s">
        <v>42</v>
      </c>
      <c r="M4" s="90" t="s">
        <v>43</v>
      </c>
      <c r="N4" s="90" t="s">
        <v>44</v>
      </c>
      <c r="O4" s="90" t="s">
        <v>45</v>
      </c>
      <c r="P4" s="90" t="s">
        <v>46</v>
      </c>
      <c r="Q4" s="90" t="s">
        <v>47</v>
      </c>
      <c r="R4" s="90" t="s">
        <v>48</v>
      </c>
      <c r="S4" s="90" t="s">
        <v>49</v>
      </c>
      <c r="T4" s="90" t="s">
        <v>50</v>
      </c>
      <c r="U4" s="90" t="s">
        <v>51</v>
      </c>
      <c r="V4" s="90" t="s">
        <v>52</v>
      </c>
      <c r="W4" s="90" t="s">
        <v>53</v>
      </c>
      <c r="X4" s="90" t="s">
        <v>54</v>
      </c>
    </row>
    <row r="5" spans="1:26" ht="55.5" customHeight="1">
      <c r="A5" s="89"/>
      <c r="B5" s="15" t="s">
        <v>8</v>
      </c>
      <c r="C5" s="89"/>
      <c r="D5" s="88"/>
      <c r="E5" s="88"/>
      <c r="F5" s="88"/>
      <c r="G5" s="13" t="s">
        <v>6</v>
      </c>
      <c r="H5" s="88"/>
      <c r="I5" s="91"/>
      <c r="J5" s="95"/>
      <c r="K5" s="94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Z5" s="55" t="s">
        <v>114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1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92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166536013.49</v>
      </c>
      <c r="E8" s="20">
        <f>E9+E25</f>
        <v>44702112.690000005</v>
      </c>
      <c r="F8" s="20">
        <f>F9+F25</f>
        <v>121833900.8</v>
      </c>
      <c r="G8" s="20">
        <f>G9+G25</f>
        <v>121833900.8</v>
      </c>
      <c r="H8" s="20">
        <f>H9+H25</f>
        <v>145719523.99</v>
      </c>
      <c r="I8" s="70">
        <f>H8/D8*100</f>
        <v>87.50030755284654</v>
      </c>
      <c r="J8" s="70">
        <f>H8/(L8+M8+N8+O8+P8+Q8+R8+U8+N25+O25+P25+Q25+R25+S8+S25+T8+T25+U25+V8)*100</f>
        <v>101.79901251465071</v>
      </c>
      <c r="K8" s="63">
        <f>K9+K17</f>
        <v>4014607.5999999987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3487906.11</v>
      </c>
      <c r="W8" s="63">
        <f t="shared" si="0"/>
        <v>4721677.029999999</v>
      </c>
      <c r="X8" s="63">
        <f t="shared" si="0"/>
        <v>44712047.07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44702112.690000005</v>
      </c>
      <c r="E9" s="23">
        <f>E11+E13+E12+E14+E17+E10+E15+E16</f>
        <v>44702112.690000005</v>
      </c>
      <c r="F9" s="23"/>
      <c r="G9" s="23"/>
      <c r="H9" s="23">
        <f>H11+H13+H12+H14+H17+H10+H15+H16</f>
        <v>35975762.440000005</v>
      </c>
      <c r="I9" s="45">
        <f>H9/D9*100</f>
        <v>80.47888628773443</v>
      </c>
      <c r="J9" s="45">
        <f>H9/(L9+M9+N9+O9+P9+Q9+R9+S9+U9+T9+M17+N17+O17+P17+Q17+R17+S17+T17+U17+V9)*100</f>
        <v>90.29976981609383</v>
      </c>
      <c r="K9" s="23">
        <f>L9+M9+N9+O9+P9+Q9+R9+S9+T9+U9+V9-H10-H11-H12-H13-H14-H15-H16</f>
        <v>2588556.4699999997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</f>
        <v>3337906.11</v>
      </c>
      <c r="W9" s="25">
        <f>4511739.26-2753308.83+2506400-3264000+519572</f>
        <v>1520402.4299999997</v>
      </c>
      <c r="X9" s="25">
        <f>SUM(L9:W9)</f>
        <v>29396347.07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96">
        <f>(H10+H11+H12+H13+H14+H15+H16)/(L9+M9+N9+O9+P9+Q9+R9+S9+T9+U9+V9)*100</f>
        <v>90.71401344984162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97"/>
      <c r="K11" s="80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97"/>
      <c r="K12" s="51">
        <f t="shared" si="2"/>
        <v>329561.43999999994</v>
      </c>
      <c r="Y12" s="69"/>
    </row>
    <row r="13" spans="1:25" ht="18.75">
      <c r="A13" s="1"/>
      <c r="B13" s="21"/>
      <c r="C13" s="24" t="s">
        <v>106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4">H13/D13*100</f>
        <v>61.845285714285716</v>
      </c>
      <c r="J13" s="97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7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107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97"/>
      <c r="K15" s="81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108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</f>
        <v>254748</v>
      </c>
      <c r="I16" s="46">
        <f t="shared" si="3"/>
        <v>11.279869267436325</v>
      </c>
      <c r="J16" s="98"/>
      <c r="K16" s="51">
        <f t="shared" si="2"/>
        <v>2003682.4299999997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10688374.270000001</v>
      </c>
      <c r="I17" s="46">
        <f t="shared" si="3"/>
        <v>69.78704381778175</v>
      </c>
      <c r="J17" s="96">
        <f>H17/(L17+M17+N17+O17+P17+Q17+R17+S17+T17+U17+V17)*100</f>
        <v>88.22848725454202</v>
      </c>
      <c r="K17" s="71">
        <f>L17+M17+N17+O17+P17+Q17+R17+S17+T17+U17+V17-H17</f>
        <v>1426051.129999999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150000-58725.4+3110000</f>
        <v>3201274.6</v>
      </c>
      <c r="X17" s="23">
        <f>SUM(L17:W17)</f>
        <v>15315700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97"/>
      <c r="K18" s="79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967227.6+543559.2+129600+884272.8+1164690+6055.65+983298+38257.6+23865</f>
        <v>4740825.85</v>
      </c>
      <c r="I19" s="47">
        <f>H19/D19*100</f>
        <v>73.64275273393811</v>
      </c>
      <c r="J19" s="97"/>
      <c r="K19" s="79">
        <f aca="true" t="shared" si="5" ref="K19:K24">D19-H19</f>
        <v>1696774.1500000004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97"/>
      <c r="K20" s="79">
        <f t="shared" si="5"/>
        <v>137278.26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7"/>
      <c r="K21" s="79">
        <f t="shared" si="5"/>
        <v>28894.269999999902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7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7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8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SUM(D26:D48)</f>
        <v>121833900.8</v>
      </c>
      <c r="E25" s="30"/>
      <c r="F25" s="30">
        <f>SUM(F26:F48)</f>
        <v>121833900.8</v>
      </c>
      <c r="G25" s="30">
        <f>SUM(G26:G48)</f>
        <v>121833900.8</v>
      </c>
      <c r="H25" s="30">
        <f>SUM(H26:H48)</f>
        <v>109743761.55000001</v>
      </c>
      <c r="I25" s="45">
        <f>H25/D25*100</f>
        <v>90.07653931244728</v>
      </c>
      <c r="J25" s="68">
        <f>H25/(L25+M25+N25+O25+P25+Q25+R25+S25+T25+U25+V25)*100</f>
        <v>97.91070302687281</v>
      </c>
      <c r="K25" s="52">
        <f>L25+M25+N25+O25+P25+Q25+R25+S25+T25+T25+U25+V25-H25</f>
        <v>20415618.5</v>
      </c>
      <c r="L25" s="62">
        <f aca="true" t="shared" si="6" ref="L25:X25">SUM(L26:L48)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SUM(P26:P48)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8931592.43</v>
      </c>
      <c r="W25" s="62">
        <f t="shared" si="6"/>
        <v>9748339</v>
      </c>
      <c r="X25" s="62">
        <f t="shared" si="6"/>
        <v>121833900.8</v>
      </c>
      <c r="Y25" s="69">
        <f aca="true" t="shared" si="8" ref="Y25:Y48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8">H26/(L26+M26+N26+O26+P26+Q26+R26+S26+T26+U26+V26)*100</f>
        <v>100</v>
      </c>
      <c r="K26" s="52">
        <f aca="true" t="shared" si="10" ref="K26:K90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5">F27</f>
        <v>40000</v>
      </c>
      <c r="E27" s="30"/>
      <c r="F27" s="32">
        <f aca="true" t="shared" si="12" ref="F27:F46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8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8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83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8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101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83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99</v>
      </c>
      <c r="D32" s="32">
        <f>F32</f>
        <v>1050000</v>
      </c>
      <c r="E32" s="30"/>
      <c r="F32" s="32">
        <f>G32</f>
        <v>1050000</v>
      </c>
      <c r="G32" s="32">
        <f>700000+350000</f>
        <v>1050000</v>
      </c>
      <c r="H32" s="25">
        <f>14000+433000+280000+300000+21454+1398</f>
        <v>1049852</v>
      </c>
      <c r="I32" s="46">
        <f>H32/D32*100</f>
        <v>99.98590476190476</v>
      </c>
      <c r="J32" s="67">
        <f>H32/(L32+M32+N32+O32+P32+Q32+R32+S32+T32+U32+V32)*100</f>
        <v>99.98590476190476</v>
      </c>
      <c r="K32" s="52">
        <f>L32+M32+N32+O32+P32+Q32+R32+S32+T32+T32+U32+V32-H32</f>
        <v>148</v>
      </c>
      <c r="L32" s="53"/>
      <c r="M32" s="43"/>
      <c r="N32" s="43"/>
      <c r="O32" s="43"/>
      <c r="P32" s="43">
        <f>300000-100000</f>
        <v>200000</v>
      </c>
      <c r="Q32" s="43">
        <v>146801.38</v>
      </c>
      <c r="R32" s="43">
        <f>253198.62-248339+100000</f>
        <v>104859.62</v>
      </c>
      <c r="S32" s="43">
        <f>350000</f>
        <v>350000</v>
      </c>
      <c r="T32" s="43">
        <f>100000-100000</f>
        <v>0</v>
      </c>
      <c r="U32" s="43">
        <f>248339</f>
        <v>248339</v>
      </c>
      <c r="V32" s="43"/>
      <c r="W32" s="43">
        <f>248339-248339</f>
        <v>0</v>
      </c>
      <c r="X32" s="73">
        <f>SUM(L32:W32)</f>
        <v>1050000</v>
      </c>
      <c r="Y32" s="74">
        <f>D32-X32</f>
        <v>0</v>
      </c>
    </row>
    <row r="33" spans="1:25" s="4" customFormat="1" ht="24" customHeight="1">
      <c r="A33" s="1"/>
      <c r="B33" s="5"/>
      <c r="C33" s="54" t="s">
        <v>112</v>
      </c>
      <c r="D33" s="32">
        <f t="shared" si="11"/>
        <v>541000</v>
      </c>
      <c r="E33" s="30"/>
      <c r="F33" s="32">
        <f t="shared" si="12"/>
        <v>541000</v>
      </c>
      <c r="G33" s="32">
        <f>291000+250000</f>
        <v>541000</v>
      </c>
      <c r="H33" s="25">
        <f>30000</f>
        <v>30000</v>
      </c>
      <c r="I33" s="46">
        <f t="shared" si="14"/>
        <v>5.545286506469501</v>
      </c>
      <c r="J33" s="67">
        <f t="shared" si="9"/>
        <v>5.9405940594059405</v>
      </c>
      <c r="K33" s="52">
        <f t="shared" si="10"/>
        <v>475000</v>
      </c>
      <c r="L33" s="53"/>
      <c r="M33" s="43"/>
      <c r="N33" s="43"/>
      <c r="O33" s="43"/>
      <c r="P33" s="43"/>
      <c r="Q33" s="43"/>
      <c r="R33" s="43"/>
      <c r="S33" s="43">
        <f>250000</f>
        <v>250000</v>
      </c>
      <c r="T33" s="43"/>
      <c r="U33" s="43">
        <v>50000</v>
      </c>
      <c r="V33" s="43">
        <f>241000-36000</f>
        <v>205000</v>
      </c>
      <c r="W33" s="43">
        <v>36000</v>
      </c>
      <c r="X33" s="73">
        <f t="shared" si="13"/>
        <v>541000</v>
      </c>
      <c r="Y33" s="74">
        <f t="shared" si="8"/>
        <v>0</v>
      </c>
    </row>
    <row r="34" spans="1:25" s="4" customFormat="1" ht="23.25" customHeight="1">
      <c r="A34" s="1"/>
      <c r="B34" s="5"/>
      <c r="C34" s="54" t="s">
        <v>100</v>
      </c>
      <c r="D34" s="32">
        <f>F34</f>
        <v>1391000</v>
      </c>
      <c r="E34" s="30"/>
      <c r="F34" s="32">
        <f>G34</f>
        <v>1391000</v>
      </c>
      <c r="G34" s="32">
        <f>1500000-109000</f>
        <v>1391000</v>
      </c>
      <c r="H34" s="25">
        <f>57000+1000000+328207.88</f>
        <v>1385207.88</v>
      </c>
      <c r="I34" s="46">
        <f>H34/D34*100</f>
        <v>99.5836002875629</v>
      </c>
      <c r="J34" s="67">
        <f t="shared" si="9"/>
        <v>99.5836002875629</v>
      </c>
      <c r="K34" s="83">
        <f t="shared" si="10"/>
        <v>5792.120000000112</v>
      </c>
      <c r="L34" s="53"/>
      <c r="M34" s="43"/>
      <c r="N34" s="43"/>
      <c r="O34" s="43"/>
      <c r="P34" s="43"/>
      <c r="Q34" s="43">
        <f>1500000-500000</f>
        <v>1000000</v>
      </c>
      <c r="R34" s="43">
        <f>500000</f>
        <v>500000</v>
      </c>
      <c r="S34" s="43">
        <v>-109000</v>
      </c>
      <c r="T34" s="43"/>
      <c r="U34" s="43">
        <f>1500000-1500000</f>
        <v>0</v>
      </c>
      <c r="V34" s="43"/>
      <c r="W34" s="43"/>
      <c r="X34" s="73">
        <f>SUM(L34:W34)</f>
        <v>1391000</v>
      </c>
      <c r="Y34" s="74">
        <f>D34-X34</f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1"/>
        <v>12000000</v>
      </c>
      <c r="E35" s="30"/>
      <c r="F35" s="32">
        <f t="shared" si="12"/>
        <v>12000000</v>
      </c>
      <c r="G35" s="32">
        <f>7000000+5000000</f>
        <v>12000000</v>
      </c>
      <c r="H35" s="25">
        <f>146000+118000+3301936+3041280.8+4900000+48434.87</f>
        <v>11555651.67</v>
      </c>
      <c r="I35" s="46">
        <f t="shared" si="14"/>
        <v>96.29709725</v>
      </c>
      <c r="J35" s="67">
        <f t="shared" si="9"/>
        <v>96.29709725</v>
      </c>
      <c r="K35" s="52">
        <f t="shared" si="10"/>
        <v>3044348.33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>
        <v>5000000</v>
      </c>
      <c r="W35" s="43"/>
      <c r="X35" s="73">
        <f t="shared" si="13"/>
        <v>12000000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250000+350000+11000000+385798+506503.4+2540985.6+1579928.6+21155+3388311.6+2673656.8+17847+3371000+1497174.73+1120305.05+472936.2+8577</f>
        <v>29184178.98</v>
      </c>
      <c r="I36" s="46">
        <f t="shared" si="14"/>
        <v>98.59519925675676</v>
      </c>
      <c r="J36" s="67">
        <f t="shared" si="9"/>
        <v>101.48900744192517</v>
      </c>
      <c r="K36" s="52">
        <f t="shared" si="10"/>
        <v>10671821.02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51163597</v>
      </c>
      <c r="E38" s="30"/>
      <c r="F38" s="32">
        <f t="shared" si="12"/>
        <v>51163597</v>
      </c>
      <c r="G38" s="32">
        <f>7000000+11550000+3335040+27388557+1700000+4178000-3988000</f>
        <v>51163597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</f>
        <v>44719624.14000001</v>
      </c>
      <c r="I38" s="46">
        <f t="shared" si="14"/>
        <v>87.40516062621634</v>
      </c>
      <c r="J38" s="67">
        <f t="shared" si="9"/>
        <v>99.97846183811055</v>
      </c>
      <c r="K38" s="52">
        <f t="shared" si="10"/>
        <v>4579690.859999992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v>3039001.25</v>
      </c>
      <c r="W38" s="43">
        <v>6434339</v>
      </c>
      <c r="X38" s="73">
        <f t="shared" si="13"/>
        <v>51163597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108000+2394100+780000+290000+1323887.29</f>
        <v>4895987.29</v>
      </c>
      <c r="I39" s="46">
        <f t="shared" si="14"/>
        <v>85.89451385964912</v>
      </c>
      <c r="J39" s="67">
        <f t="shared" si="9"/>
        <v>99.9997404003268</v>
      </c>
      <c r="K39" s="52">
        <f t="shared" si="10"/>
        <v>-665987.29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700000-340000+36000</f>
        <v>396000</v>
      </c>
      <c r="W39" s="43">
        <f>500000+340000-36000</f>
        <v>804000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173000+900000+31000+900000+32000+1100000+32000+500000+21466.9+43601.11+16760.29+377319.01+6388+22832.54+435000+113000+182961.76+3249+314086.57+5450</f>
        <v>5210115.18</v>
      </c>
      <c r="I40" s="46">
        <f t="shared" si="14"/>
        <v>81.6632473354232</v>
      </c>
      <c r="J40" s="67">
        <f t="shared" si="9"/>
        <v>95.59844366972476</v>
      </c>
      <c r="K40" s="52">
        <f t="shared" si="10"/>
        <v>619884.8200000003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>
        <v>-10000</v>
      </c>
      <c r="W40" s="43">
        <f>920000+10000</f>
        <v>930000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32">
        <f>38000+1037000+39019.23+5025+322679.57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103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18.75">
      <c r="A43" s="1"/>
      <c r="B43" s="5"/>
      <c r="C43" s="54" t="s">
        <v>118</v>
      </c>
      <c r="D43" s="32">
        <f t="shared" si="11"/>
        <v>150000</v>
      </c>
      <c r="E43" s="30"/>
      <c r="F43" s="32">
        <f t="shared" si="12"/>
        <v>150000</v>
      </c>
      <c r="G43" s="32">
        <f>150000</f>
        <v>150000</v>
      </c>
      <c r="H43" s="25"/>
      <c r="I43" s="46"/>
      <c r="J43" s="67"/>
      <c r="K43" s="52"/>
      <c r="L43" s="53"/>
      <c r="M43" s="43"/>
      <c r="N43" s="43"/>
      <c r="O43" s="43"/>
      <c r="P43" s="43"/>
      <c r="Q43" s="43"/>
      <c r="R43" s="53"/>
      <c r="S43" s="53"/>
      <c r="T43" s="53"/>
      <c r="U43" s="53"/>
      <c r="V43" s="53"/>
      <c r="W43" s="53">
        <v>150000</v>
      </c>
      <c r="X43" s="73">
        <f t="shared" si="13"/>
        <v>150000</v>
      </c>
      <c r="Y43" s="74">
        <f t="shared" si="8"/>
        <v>0</v>
      </c>
    </row>
    <row r="44" spans="1:25" s="4" customFormat="1" ht="18.75">
      <c r="A44" s="1"/>
      <c r="B44" s="5"/>
      <c r="C44" s="54" t="s">
        <v>119</v>
      </c>
      <c r="D44" s="32">
        <f t="shared" si="11"/>
        <v>150000</v>
      </c>
      <c r="E44" s="30"/>
      <c r="F44" s="32">
        <f t="shared" si="12"/>
        <v>150000</v>
      </c>
      <c r="G44" s="32"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120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24" customHeight="1">
      <c r="A46" s="1"/>
      <c r="B46" s="5"/>
      <c r="C46" s="75" t="s">
        <v>39</v>
      </c>
      <c r="D46" s="25">
        <f>F46</f>
        <v>7700000</v>
      </c>
      <c r="E46" s="27"/>
      <c r="F46" s="32">
        <f t="shared" si="12"/>
        <v>7700000</v>
      </c>
      <c r="G46" s="43">
        <f>6700000+1000000</f>
        <v>7700000</v>
      </c>
      <c r="H46" s="25">
        <f>3263175+1196936+1083633.68+1062941-1383336+29005.67+48813+823.18+991255.88+392428+7048</f>
        <v>6692723.409999999</v>
      </c>
      <c r="I46" s="46">
        <f>H46/D46*100</f>
        <v>86.91848584415584</v>
      </c>
      <c r="J46" s="67">
        <f t="shared" si="9"/>
        <v>86.91848584415584</v>
      </c>
      <c r="K46" s="52">
        <f t="shared" si="10"/>
        <v>979055.8400000008</v>
      </c>
      <c r="L46" s="59"/>
      <c r="M46" s="43"/>
      <c r="N46" s="43">
        <v>4000000</v>
      </c>
      <c r="O46" s="43">
        <v>2700000</v>
      </c>
      <c r="P46" s="43"/>
      <c r="Q46" s="43"/>
      <c r="R46" s="59"/>
      <c r="S46" s="59">
        <f>1000000</f>
        <v>1000000</v>
      </c>
      <c r="T46" s="60">
        <v>-28220.75</v>
      </c>
      <c r="U46" s="60"/>
      <c r="V46" s="60">
        <v>28220.75</v>
      </c>
      <c r="W46" s="59"/>
      <c r="X46" s="73">
        <f t="shared" si="13"/>
        <v>7700000</v>
      </c>
      <c r="Y46" s="74">
        <f t="shared" si="8"/>
        <v>0</v>
      </c>
    </row>
    <row r="47" spans="1:25" s="4" customFormat="1" ht="22.5" customHeight="1">
      <c r="A47" s="1"/>
      <c r="B47" s="5"/>
      <c r="C47" s="75" t="s">
        <v>40</v>
      </c>
      <c r="D47" s="25">
        <f>F47</f>
        <v>145755</v>
      </c>
      <c r="E47" s="27"/>
      <c r="F47" s="25">
        <f>G47</f>
        <v>145755</v>
      </c>
      <c r="G47" s="43">
        <f>10000000-5000000-4854245</f>
        <v>145755</v>
      </c>
      <c r="H47" s="25">
        <f>43726+73807+28222</f>
        <v>145755</v>
      </c>
      <c r="I47" s="46">
        <f>H47/D47*100</f>
        <v>100</v>
      </c>
      <c r="J47" s="67">
        <f t="shared" si="9"/>
        <v>100</v>
      </c>
      <c r="K47" s="52">
        <f t="shared" si="10"/>
        <v>28222</v>
      </c>
      <c r="L47" s="60"/>
      <c r="M47" s="43"/>
      <c r="N47" s="43">
        <v>500000</v>
      </c>
      <c r="O47" s="43">
        <f>4500000-4600000</f>
        <v>-100000</v>
      </c>
      <c r="P47" s="43">
        <f>3000000-634334</f>
        <v>2365666</v>
      </c>
      <c r="Q47" s="43">
        <f>2000000-2000000-148000-2500000</f>
        <v>-2648000</v>
      </c>
      <c r="R47" s="60">
        <f>4300000-2700000-721000-879133</f>
        <v>-133</v>
      </c>
      <c r="S47" s="60">
        <f>2300000-2300000+869000+1000000-1000000-869000</f>
        <v>0</v>
      </c>
      <c r="T47" s="60">
        <f>7621.25+1000000-1007620+28220.75</f>
        <v>28222</v>
      </c>
      <c r="U47" s="60">
        <f>634334+1500000+701511.75-2835845.75</f>
        <v>0</v>
      </c>
      <c r="V47" s="60">
        <f>170000-141779.25-28220.75</f>
        <v>0</v>
      </c>
      <c r="W47" s="60"/>
      <c r="X47" s="73">
        <f>SUM(L47:W47)</f>
        <v>145755</v>
      </c>
      <c r="Y47" s="74">
        <f t="shared" si="8"/>
        <v>0</v>
      </c>
    </row>
    <row r="48" spans="1:25" s="4" customFormat="1" ht="22.5" customHeight="1">
      <c r="A48" s="1"/>
      <c r="B48" s="76"/>
      <c r="C48" s="54" t="s">
        <v>65</v>
      </c>
      <c r="D48" s="25">
        <f>F48</f>
        <v>256188.7999999998</v>
      </c>
      <c r="E48" s="27"/>
      <c r="F48" s="25">
        <f>G48</f>
        <v>256188.7999999998</v>
      </c>
      <c r="G48" s="43">
        <f>7000000-6743811.2</f>
        <v>256188.7999999998</v>
      </c>
      <c r="H48" s="25">
        <f>73140+183048.8</f>
        <v>256188.8</v>
      </c>
      <c r="I48" s="46">
        <f>H48/D48*100</f>
        <v>100.00000000000007</v>
      </c>
      <c r="J48" s="67">
        <f t="shared" si="9"/>
        <v>100.00000000000016</v>
      </c>
      <c r="K48" s="52">
        <f t="shared" si="10"/>
        <v>-4.0745362639427185E-10</v>
      </c>
      <c r="L48" s="59"/>
      <c r="M48" s="59"/>
      <c r="N48" s="59"/>
      <c r="O48" s="59">
        <f>755868.99-512000</f>
        <v>243868.99</v>
      </c>
      <c r="P48" s="59">
        <f>1600000+2244131.01-2087000-1100000</f>
        <v>657131.0099999998</v>
      </c>
      <c r="Q48" s="59">
        <f>-827666</f>
        <v>-827666</v>
      </c>
      <c r="R48" s="59">
        <f>400000+512000+201333+375000-1304527</f>
        <v>183806</v>
      </c>
      <c r="S48" s="60">
        <f>733333+150000+2138167+238660-3261111.2</f>
        <v>-951.2000000001863</v>
      </c>
      <c r="T48" s="60">
        <f>833334+200000+80000+1065867-2179201</f>
        <v>0</v>
      </c>
      <c r="U48" s="60">
        <f>57666+34088.25-91754.25</f>
        <v>0</v>
      </c>
      <c r="V48" s="60">
        <f>1211744.75-1211744.75</f>
        <v>0</v>
      </c>
      <c r="W48" s="60"/>
      <c r="X48" s="73">
        <f t="shared" si="13"/>
        <v>256188.79999999958</v>
      </c>
      <c r="Y48" s="74">
        <f t="shared" si="8"/>
        <v>2.3283064365386963E-10</v>
      </c>
    </row>
    <row r="49" spans="1:25" s="16" customFormat="1" ht="24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68"/>
      <c r="K49" s="52"/>
      <c r="X49" s="65"/>
      <c r="Y49" s="69"/>
    </row>
    <row r="50" spans="1:25" s="16" customFormat="1" ht="39.75" customHeight="1">
      <c r="A50" s="17">
        <v>2</v>
      </c>
      <c r="B50" s="18"/>
      <c r="C50" s="19" t="s">
        <v>16</v>
      </c>
      <c r="D50" s="20">
        <f>D51</f>
        <v>126839510.2</v>
      </c>
      <c r="E50" s="20"/>
      <c r="F50" s="20">
        <f>F51</f>
        <v>126839510.2</v>
      </c>
      <c r="G50" s="20">
        <f>G51</f>
        <v>126839510.2</v>
      </c>
      <c r="H50" s="20">
        <f>H51</f>
        <v>75223277.22000001</v>
      </c>
      <c r="I50" s="64">
        <f>H50/D50*100</f>
        <v>59.30587172828739</v>
      </c>
      <c r="J50" s="64">
        <f>H51/(L51+M51+N51+O51+P51+Q51+R51+S51+T51+U51+V51)*100</f>
        <v>65.73140335115748</v>
      </c>
      <c r="K50" s="52"/>
      <c r="X50" s="65"/>
      <c r="Y50" s="69"/>
    </row>
    <row r="51" spans="1:25" s="16" customFormat="1" ht="19.5" customHeight="1">
      <c r="A51" s="1"/>
      <c r="B51" s="29" t="s">
        <v>30</v>
      </c>
      <c r="C51" s="29" t="s">
        <v>30</v>
      </c>
      <c r="D51" s="30">
        <f>SUM(D52:D99)</f>
        <v>126839510.2</v>
      </c>
      <c r="E51" s="30"/>
      <c r="F51" s="30">
        <f>SUM(F52:F99)</f>
        <v>126839510.2</v>
      </c>
      <c r="G51" s="30">
        <f>SUM(G52:G99)</f>
        <v>126839510.2</v>
      </c>
      <c r="H51" s="30">
        <f>SUM(H52:H99)</f>
        <v>75223277.22000001</v>
      </c>
      <c r="I51" s="48">
        <f>H51/D51*100</f>
        <v>59.30587172828739</v>
      </c>
      <c r="J51" s="68">
        <f>H51/(L51+M51+N51+O51+P51+Q51+R51+S51+T51+U51+V51)*100</f>
        <v>65.73140335115748</v>
      </c>
      <c r="K51" s="52">
        <f t="shared" si="10"/>
        <v>58415499.759999976</v>
      </c>
      <c r="L51" s="61">
        <f>SUM(L52:L99)</f>
        <v>0</v>
      </c>
      <c r="M51" s="61">
        <f aca="true" t="shared" si="15" ref="M51:W51">SUM(M52:M99)</f>
        <v>2416000</v>
      </c>
      <c r="N51" s="61">
        <f t="shared" si="15"/>
        <v>3584000</v>
      </c>
      <c r="O51" s="61">
        <f t="shared" si="15"/>
        <v>590500</v>
      </c>
      <c r="P51" s="61">
        <f t="shared" si="15"/>
        <v>7038995.17</v>
      </c>
      <c r="Q51" s="61">
        <f t="shared" si="15"/>
        <v>14065230</v>
      </c>
      <c r="R51" s="61">
        <f t="shared" si="15"/>
        <v>10424146</v>
      </c>
      <c r="S51" s="61">
        <f t="shared" si="15"/>
        <v>19083470.259999998</v>
      </c>
      <c r="T51" s="61">
        <f>SUM(T52:T99)</f>
        <v>19198382.61</v>
      </c>
      <c r="U51" s="61">
        <f t="shared" si="15"/>
        <v>25254393.09</v>
      </c>
      <c r="V51" s="61">
        <f t="shared" si="15"/>
        <v>12785277.239999998</v>
      </c>
      <c r="W51" s="61">
        <f t="shared" si="15"/>
        <v>12399115.830000002</v>
      </c>
      <c r="X51" s="61">
        <f>SUM(X52:X99)</f>
        <v>126839510.2</v>
      </c>
      <c r="Y51" s="69">
        <f>D51-X51</f>
        <v>0</v>
      </c>
    </row>
    <row r="52" spans="1:25" s="77" customFormat="1" ht="40.5" customHeight="1">
      <c r="A52" s="1"/>
      <c r="B52" s="29"/>
      <c r="C52" s="31" t="s">
        <v>31</v>
      </c>
      <c r="D52" s="32">
        <f aca="true" t="shared" si="16" ref="D52:D88">F52</f>
        <v>768000</v>
      </c>
      <c r="E52" s="30"/>
      <c r="F52" s="25">
        <f aca="true" t="shared" si="17" ref="F52:F99">G52</f>
        <v>768000</v>
      </c>
      <c r="G52" s="32">
        <f>192000+576000</f>
        <v>768000</v>
      </c>
      <c r="H52" s="25">
        <f>81260+1427.14+45242+45091.14+234240.07+85847.68+4174.27+129963.42</f>
        <v>627245.72</v>
      </c>
      <c r="I52" s="46">
        <f>H52/D52*100</f>
        <v>81.67261979166666</v>
      </c>
      <c r="J52" s="67">
        <f aca="true" t="shared" si="18" ref="J52:J99">H52/(L52+M52+N52+O52+P52+Q52+R52+S52+T52+U52+V52)*100</f>
        <v>99.97009562848389</v>
      </c>
      <c r="K52" s="52">
        <f t="shared" si="10"/>
        <v>187.63000000000466</v>
      </c>
      <c r="L52" s="59"/>
      <c r="M52" s="59">
        <v>92000</v>
      </c>
      <c r="N52" s="59">
        <v>100000</v>
      </c>
      <c r="O52" s="59">
        <v>300000</v>
      </c>
      <c r="P52" s="59">
        <f>276000-360739.65</f>
        <v>-84739.65000000002</v>
      </c>
      <c r="Q52" s="59"/>
      <c r="R52" s="59">
        <f>86000</f>
        <v>86000</v>
      </c>
      <c r="S52" s="59">
        <v>134173</v>
      </c>
      <c r="T52" s="60"/>
      <c r="U52" s="59"/>
      <c r="V52" s="59"/>
      <c r="W52" s="59">
        <v>140566.65</v>
      </c>
      <c r="X52" s="59">
        <f>SUM(L52:W52)</f>
        <v>768000</v>
      </c>
      <c r="Y52" s="69">
        <f aca="true" t="shared" si="19" ref="Y52:Y102">D52-X52</f>
        <v>0</v>
      </c>
    </row>
    <row r="53" spans="1:25" s="77" customFormat="1" ht="26.25" customHeight="1">
      <c r="A53" s="1"/>
      <c r="B53" s="29"/>
      <c r="C53" s="56" t="s">
        <v>66</v>
      </c>
      <c r="D53" s="32">
        <f t="shared" si="16"/>
        <v>109800</v>
      </c>
      <c r="E53" s="30"/>
      <c r="F53" s="25">
        <f t="shared" si="17"/>
        <v>109800</v>
      </c>
      <c r="G53" s="32">
        <v>109800</v>
      </c>
      <c r="H53" s="25"/>
      <c r="I53" s="46"/>
      <c r="J53" s="67"/>
      <c r="K53" s="52">
        <f t="shared" si="10"/>
        <v>0</v>
      </c>
      <c r="L53" s="59"/>
      <c r="M53" s="59"/>
      <c r="N53" s="59"/>
      <c r="O53" s="59"/>
      <c r="P53" s="59">
        <f>109800-109800</f>
        <v>0</v>
      </c>
      <c r="Q53" s="59"/>
      <c r="R53" s="59"/>
      <c r="S53" s="59"/>
      <c r="T53" s="60"/>
      <c r="U53" s="59"/>
      <c r="V53" s="59"/>
      <c r="W53" s="59">
        <f>109800</f>
        <v>109800</v>
      </c>
      <c r="X53" s="59">
        <f aca="true" t="shared" si="20" ref="X53:X99">SUM(L53:W53)</f>
        <v>109800</v>
      </c>
      <c r="Y53" s="69">
        <f t="shared" si="19"/>
        <v>0</v>
      </c>
    </row>
    <row r="54" spans="1:25" s="77" customFormat="1" ht="40.5" customHeight="1">
      <c r="A54" s="1"/>
      <c r="B54" s="29"/>
      <c r="C54" s="56" t="s">
        <v>67</v>
      </c>
      <c r="D54" s="32">
        <f t="shared" si="16"/>
        <v>25280</v>
      </c>
      <c r="E54" s="30"/>
      <c r="F54" s="25">
        <f t="shared" si="17"/>
        <v>25280</v>
      </c>
      <c r="G54" s="32">
        <v>25280</v>
      </c>
      <c r="H54" s="25"/>
      <c r="I54" s="46"/>
      <c r="J54" s="67">
        <f t="shared" si="18"/>
        <v>0</v>
      </c>
      <c r="K54" s="52">
        <f t="shared" si="10"/>
        <v>21107</v>
      </c>
      <c r="L54" s="59"/>
      <c r="M54" s="59"/>
      <c r="N54" s="59"/>
      <c r="O54" s="59"/>
      <c r="P54" s="59"/>
      <c r="Q54" s="59">
        <v>25280</v>
      </c>
      <c r="R54" s="59"/>
      <c r="S54" s="59">
        <v>-4173</v>
      </c>
      <c r="T54" s="60"/>
      <c r="U54" s="59"/>
      <c r="V54" s="59"/>
      <c r="W54" s="59">
        <f>4173</f>
        <v>4173</v>
      </c>
      <c r="X54" s="59">
        <f t="shared" si="20"/>
        <v>25280</v>
      </c>
      <c r="Y54" s="69">
        <f t="shared" si="19"/>
        <v>0</v>
      </c>
    </row>
    <row r="55" spans="1:25" s="77" customFormat="1" ht="24.75" customHeight="1">
      <c r="A55" s="1"/>
      <c r="B55" s="29"/>
      <c r="C55" s="56" t="s">
        <v>68</v>
      </c>
      <c r="D55" s="32">
        <f t="shared" si="16"/>
        <v>600000</v>
      </c>
      <c r="E55" s="30"/>
      <c r="F55" s="25">
        <f t="shared" si="17"/>
        <v>600000</v>
      </c>
      <c r="G55" s="32">
        <v>600000</v>
      </c>
      <c r="H55" s="25"/>
      <c r="I55" s="46"/>
      <c r="J55" s="67">
        <f t="shared" si="18"/>
        <v>0</v>
      </c>
      <c r="K55" s="52">
        <f t="shared" si="10"/>
        <v>440000</v>
      </c>
      <c r="L55" s="59"/>
      <c r="M55" s="59"/>
      <c r="N55" s="59"/>
      <c r="O55" s="59"/>
      <c r="P55" s="60">
        <f>30000-30000</f>
        <v>0</v>
      </c>
      <c r="Q55" s="60"/>
      <c r="R55" s="60"/>
      <c r="S55" s="60">
        <v>440000</v>
      </c>
      <c r="T55" s="60"/>
      <c r="U55" s="60"/>
      <c r="V55" s="60"/>
      <c r="W55" s="60">
        <v>160000</v>
      </c>
      <c r="X55" s="59">
        <f t="shared" si="20"/>
        <v>600000</v>
      </c>
      <c r="Y55" s="69">
        <f t="shared" si="19"/>
        <v>0</v>
      </c>
    </row>
    <row r="56" spans="1:25" s="77" customFormat="1" ht="24.75" customHeight="1">
      <c r="A56" s="1"/>
      <c r="B56" s="29"/>
      <c r="C56" s="56" t="s">
        <v>69</v>
      </c>
      <c r="D56" s="32">
        <f t="shared" si="16"/>
        <v>950000</v>
      </c>
      <c r="E56" s="30"/>
      <c r="F56" s="25">
        <f t="shared" si="17"/>
        <v>950000</v>
      </c>
      <c r="G56" s="32">
        <f>850000+250000-150000</f>
        <v>950000</v>
      </c>
      <c r="H56" s="25">
        <f>386615.55+36306+326749+11808.53</f>
        <v>761479.0800000001</v>
      </c>
      <c r="I56" s="46">
        <f>H56/D56*100</f>
        <v>80.15569263157896</v>
      </c>
      <c r="J56" s="67">
        <f t="shared" si="18"/>
        <v>82.76946521739131</v>
      </c>
      <c r="K56" s="52">
        <f t="shared" si="10"/>
        <v>173523.7699999999</v>
      </c>
      <c r="L56" s="59"/>
      <c r="M56" s="59"/>
      <c r="N56" s="59"/>
      <c r="O56" s="59"/>
      <c r="P56" s="60">
        <f>30000-30000</f>
        <v>0</v>
      </c>
      <c r="Q56" s="60"/>
      <c r="R56" s="60">
        <f>387000</f>
        <v>387000</v>
      </c>
      <c r="S56" s="60">
        <f>290103.26+250000</f>
        <v>540103.26</v>
      </c>
      <c r="T56" s="60">
        <v>15002.85</v>
      </c>
      <c r="U56" s="60">
        <f>514893.89-387000-150000</f>
        <v>-22106.109999999986</v>
      </c>
      <c r="V56" s="60"/>
      <c r="W56" s="60">
        <f>30000</f>
        <v>30000</v>
      </c>
      <c r="X56" s="59">
        <f t="shared" si="20"/>
        <v>950000</v>
      </c>
      <c r="Y56" s="69">
        <f t="shared" si="19"/>
        <v>0</v>
      </c>
    </row>
    <row r="57" spans="1:25" s="77" customFormat="1" ht="40.5" customHeight="1">
      <c r="A57" s="1"/>
      <c r="B57" s="29"/>
      <c r="C57" s="56" t="s">
        <v>102</v>
      </c>
      <c r="D57" s="32">
        <f t="shared" si="16"/>
        <v>1180000</v>
      </c>
      <c r="E57" s="30"/>
      <c r="F57" s="25">
        <f t="shared" si="17"/>
        <v>1180000</v>
      </c>
      <c r="G57" s="32">
        <f>850000+330000</f>
        <v>1180000</v>
      </c>
      <c r="H57" s="25">
        <f>553277.5+572421.29+39829+2162.95</f>
        <v>1167690.74</v>
      </c>
      <c r="I57" s="46">
        <f>H57/D57*100</f>
        <v>98.95684237288135</v>
      </c>
      <c r="J57" s="67">
        <f t="shared" si="18"/>
        <v>98.95684237288135</v>
      </c>
      <c r="K57" s="52">
        <f t="shared" si="10"/>
        <v>12309.26000000001</v>
      </c>
      <c r="L57" s="59"/>
      <c r="M57" s="59"/>
      <c r="N57" s="59"/>
      <c r="O57" s="59"/>
      <c r="P57" s="60">
        <f>30000-30000+30000</f>
        <v>30000</v>
      </c>
      <c r="Q57" s="60">
        <v>700000</v>
      </c>
      <c r="R57" s="60">
        <f>450000</f>
        <v>450000</v>
      </c>
      <c r="S57" s="60">
        <f>300000-200000-100000</f>
        <v>0</v>
      </c>
      <c r="T57" s="60">
        <f>300000-300000</f>
        <v>0</v>
      </c>
      <c r="U57" s="60">
        <f>520000-500000-20000</f>
        <v>0</v>
      </c>
      <c r="V57" s="60"/>
      <c r="W57" s="60">
        <f>30000-30000</f>
        <v>0</v>
      </c>
      <c r="X57" s="59">
        <f t="shared" si="20"/>
        <v>1180000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70</v>
      </c>
      <c r="D58" s="32">
        <f t="shared" si="16"/>
        <v>120000</v>
      </c>
      <c r="E58" s="30"/>
      <c r="F58" s="25">
        <f t="shared" si="17"/>
        <v>120000</v>
      </c>
      <c r="G58" s="32">
        <v>120000</v>
      </c>
      <c r="H58" s="25"/>
      <c r="I58" s="46"/>
      <c r="J58" s="67"/>
      <c r="K58" s="52">
        <f t="shared" si="10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60"/>
      <c r="U58" s="59"/>
      <c r="V58" s="59"/>
      <c r="W58" s="59">
        <f>120000</f>
        <v>120000</v>
      </c>
      <c r="X58" s="59">
        <f t="shared" si="20"/>
        <v>120000</v>
      </c>
      <c r="Y58" s="69">
        <f t="shared" si="19"/>
        <v>0</v>
      </c>
    </row>
    <row r="59" spans="1:25" s="77" customFormat="1" ht="23.25" customHeight="1">
      <c r="A59" s="1"/>
      <c r="B59" s="29"/>
      <c r="C59" s="56" t="s">
        <v>71</v>
      </c>
      <c r="D59" s="32">
        <f t="shared" si="16"/>
        <v>5000</v>
      </c>
      <c r="E59" s="30"/>
      <c r="F59" s="25">
        <f t="shared" si="17"/>
        <v>5000</v>
      </c>
      <c r="G59" s="32">
        <v>5000</v>
      </c>
      <c r="H59" s="25"/>
      <c r="I59" s="46"/>
      <c r="J59" s="67">
        <f t="shared" si="18"/>
        <v>0</v>
      </c>
      <c r="K59" s="52">
        <f t="shared" si="10"/>
        <v>5000</v>
      </c>
      <c r="L59" s="59"/>
      <c r="M59" s="59"/>
      <c r="N59" s="59"/>
      <c r="O59" s="59">
        <v>5000</v>
      </c>
      <c r="P59" s="59"/>
      <c r="Q59" s="59"/>
      <c r="R59" s="59"/>
      <c r="S59" s="59"/>
      <c r="T59" s="60"/>
      <c r="U59" s="59"/>
      <c r="V59" s="59"/>
      <c r="W59" s="59"/>
      <c r="X59" s="59">
        <f t="shared" si="20"/>
        <v>5000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105</v>
      </c>
      <c r="D60" s="32">
        <f>F60</f>
        <v>500000</v>
      </c>
      <c r="E60" s="30"/>
      <c r="F60" s="25">
        <f>G60</f>
        <v>500000</v>
      </c>
      <c r="G60" s="32">
        <v>500000</v>
      </c>
      <c r="H60" s="25">
        <f>150000</f>
        <v>150000</v>
      </c>
      <c r="I60" s="46">
        <f>H60/D60*100</f>
        <v>30</v>
      </c>
      <c r="J60" s="67">
        <f t="shared" si="18"/>
        <v>30</v>
      </c>
      <c r="K60" s="52">
        <f t="shared" si="10"/>
        <v>350000</v>
      </c>
      <c r="L60" s="59"/>
      <c r="M60" s="59"/>
      <c r="N60" s="59"/>
      <c r="O60" s="59"/>
      <c r="P60" s="59"/>
      <c r="Q60" s="59">
        <v>500000</v>
      </c>
      <c r="R60" s="59"/>
      <c r="S60" s="59"/>
      <c r="T60" s="60"/>
      <c r="U60" s="59"/>
      <c r="V60" s="59"/>
      <c r="W60" s="59"/>
      <c r="X60" s="59">
        <f t="shared" si="20"/>
        <v>500000</v>
      </c>
      <c r="Y60" s="69">
        <f t="shared" si="19"/>
        <v>0</v>
      </c>
    </row>
    <row r="61" spans="1:25" s="77" customFormat="1" ht="23.25" customHeight="1">
      <c r="A61" s="1"/>
      <c r="B61" s="29"/>
      <c r="C61" s="78" t="s">
        <v>111</v>
      </c>
      <c r="D61" s="32">
        <f>F61</f>
        <v>200000</v>
      </c>
      <c r="E61" s="30"/>
      <c r="F61" s="25">
        <f>G61</f>
        <v>200000</v>
      </c>
      <c r="G61" s="32">
        <v>200000</v>
      </c>
      <c r="H61" s="25"/>
      <c r="I61" s="46"/>
      <c r="J61" s="67">
        <f t="shared" si="18"/>
        <v>0</v>
      </c>
      <c r="K61" s="52">
        <f t="shared" si="10"/>
        <v>200000</v>
      </c>
      <c r="L61" s="59"/>
      <c r="M61" s="59"/>
      <c r="N61" s="59"/>
      <c r="O61" s="59"/>
      <c r="P61" s="59"/>
      <c r="Q61" s="59">
        <v>200000</v>
      </c>
      <c r="R61" s="59"/>
      <c r="S61" s="59"/>
      <c r="T61" s="60"/>
      <c r="U61" s="59"/>
      <c r="V61" s="59"/>
      <c r="W61" s="59"/>
      <c r="X61" s="59">
        <f t="shared" si="20"/>
        <v>200000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72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73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74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75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76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78</v>
      </c>
      <c r="D67" s="32">
        <f t="shared" si="16"/>
        <v>10450000</v>
      </c>
      <c r="E67" s="30"/>
      <c r="F67" s="25">
        <f t="shared" si="17"/>
        <v>10450000</v>
      </c>
      <c r="G67" s="32">
        <f>350000+10100000</f>
        <v>10450000</v>
      </c>
      <c r="H67" s="25">
        <f>105000+245000</f>
        <v>350000</v>
      </c>
      <c r="I67" s="46">
        <f>H67/D67*100</f>
        <v>3.349282296650718</v>
      </c>
      <c r="J67" s="67">
        <f t="shared" si="18"/>
        <v>11.475409836065573</v>
      </c>
      <c r="K67" s="52">
        <f t="shared" si="10"/>
        <v>2700000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2700000</v>
      </c>
      <c r="W67" s="59">
        <v>7400000</v>
      </c>
      <c r="X67" s="59">
        <f t="shared" si="20"/>
        <v>10450000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79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80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81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97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82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77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83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115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84</v>
      </c>
      <c r="D76" s="32">
        <f t="shared" si="16"/>
        <v>3050000</v>
      </c>
      <c r="E76" s="30"/>
      <c r="F76" s="25">
        <f t="shared" si="17"/>
        <v>3050000</v>
      </c>
      <c r="G76" s="32">
        <f>3043000+7000</f>
        <v>3050000</v>
      </c>
      <c r="H76" s="25">
        <f>275933.34+29437.7+941917.2+15430.54+158281.2+54884.4+2515.78+901.08</f>
        <v>1479301.24</v>
      </c>
      <c r="I76" s="46">
        <f>H76/D76*100</f>
        <v>48.50168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/>
      <c r="X76" s="59">
        <f t="shared" si="20"/>
        <v>3050000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85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</f>
        <v>1264571.36</v>
      </c>
      <c r="I79" s="46">
        <f>H79/D79*100</f>
        <v>21.076189333333335</v>
      </c>
      <c r="J79" s="67">
        <f t="shared" si="18"/>
        <v>31.614284000000005</v>
      </c>
      <c r="K79" s="52">
        <f t="shared" si="10"/>
        <v>2735428.6399999997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104</v>
      </c>
      <c r="D80" s="32">
        <f>F80</f>
        <v>100000</v>
      </c>
      <c r="E80" s="30"/>
      <c r="F80" s="25">
        <f>G80</f>
        <v>100000</v>
      </c>
      <c r="G80" s="32">
        <v>100000</v>
      </c>
      <c r="H80" s="25"/>
      <c r="I80" s="46"/>
      <c r="J80" s="67">
        <f t="shared" si="18"/>
        <v>0</v>
      </c>
      <c r="K80" s="52">
        <f t="shared" si="10"/>
        <v>100000</v>
      </c>
      <c r="L80" s="59"/>
      <c r="M80" s="59"/>
      <c r="N80" s="59"/>
      <c r="O80" s="59"/>
      <c r="P80" s="59"/>
      <c r="Q80" s="59">
        <v>100000</v>
      </c>
      <c r="R80" s="59"/>
      <c r="S80" s="59"/>
      <c r="T80" s="60"/>
      <c r="U80" s="59"/>
      <c r="V80" s="59"/>
      <c r="W80" s="59"/>
      <c r="X80" s="59">
        <f t="shared" si="20"/>
        <v>100000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109</v>
      </c>
      <c r="D81" s="32">
        <f>F81</f>
        <v>500000</v>
      </c>
      <c r="E81" s="30"/>
      <c r="F81" s="25">
        <f>G81</f>
        <v>500000</v>
      </c>
      <c r="G81" s="32">
        <v>500000</v>
      </c>
      <c r="H81" s="25"/>
      <c r="I81" s="46"/>
      <c r="J81" s="67">
        <f t="shared" si="18"/>
        <v>0</v>
      </c>
      <c r="K81" s="52">
        <f t="shared" si="10"/>
        <v>300000</v>
      </c>
      <c r="L81" s="59"/>
      <c r="M81" s="59"/>
      <c r="N81" s="59"/>
      <c r="O81" s="59"/>
      <c r="P81" s="59"/>
      <c r="Q81" s="59"/>
      <c r="R81" s="59"/>
      <c r="S81" s="59"/>
      <c r="T81" s="60">
        <f>150000</f>
        <v>150000</v>
      </c>
      <c r="U81" s="59"/>
      <c r="V81" s="59"/>
      <c r="W81" s="59">
        <f>350000</f>
        <v>350000</v>
      </c>
      <c r="X81" s="59">
        <f t="shared" si="20"/>
        <v>500000</v>
      </c>
      <c r="Y81" s="69">
        <f t="shared" si="19"/>
        <v>0</v>
      </c>
    </row>
    <row r="82" spans="1:25" s="77" customFormat="1" ht="19.5" customHeight="1">
      <c r="A82" s="1"/>
      <c r="B82" s="29"/>
      <c r="C82" s="31" t="s">
        <v>110</v>
      </c>
      <c r="D82" s="32">
        <f>F82</f>
        <v>80000</v>
      </c>
      <c r="E82" s="30"/>
      <c r="F82" s="25">
        <f>G82</f>
        <v>80000</v>
      </c>
      <c r="G82" s="32">
        <f>1480000-149491-1250509</f>
        <v>80000</v>
      </c>
      <c r="H82" s="25">
        <f>21124</f>
        <v>21124</v>
      </c>
      <c r="I82" s="46">
        <f>H82/D82*100</f>
        <v>26.405</v>
      </c>
      <c r="J82" s="67">
        <f t="shared" si="18"/>
        <v>26.405</v>
      </c>
      <c r="K82" s="52">
        <f t="shared" si="10"/>
        <v>138876</v>
      </c>
      <c r="L82" s="59"/>
      <c r="M82" s="59"/>
      <c r="N82" s="59"/>
      <c r="O82" s="59"/>
      <c r="P82" s="59"/>
      <c r="Q82" s="59"/>
      <c r="R82" s="59"/>
      <c r="S82" s="59"/>
      <c r="T82" s="60">
        <f>740000-510509-149491</f>
        <v>80000</v>
      </c>
      <c r="U82" s="60">
        <f>740000-740000</f>
        <v>0</v>
      </c>
      <c r="V82" s="59"/>
      <c r="W82" s="59"/>
      <c r="X82" s="59">
        <f t="shared" si="20"/>
        <v>80000</v>
      </c>
      <c r="Y82" s="69">
        <f t="shared" si="19"/>
        <v>0</v>
      </c>
    </row>
    <row r="83" spans="1:25" s="77" customFormat="1" ht="40.5" customHeight="1">
      <c r="A83" s="1"/>
      <c r="B83" s="29"/>
      <c r="C83" s="55" t="s">
        <v>34</v>
      </c>
      <c r="D83" s="32">
        <f t="shared" si="16"/>
        <v>147000</v>
      </c>
      <c r="E83" s="30"/>
      <c r="F83" s="25">
        <f t="shared" si="17"/>
        <v>147000</v>
      </c>
      <c r="G83" s="32">
        <f>462000+385000-700000</f>
        <v>147000</v>
      </c>
      <c r="H83" s="25"/>
      <c r="I83" s="46"/>
      <c r="J83" s="67">
        <f t="shared" si="18"/>
        <v>0</v>
      </c>
      <c r="K83" s="52">
        <f t="shared" si="10"/>
        <v>147000</v>
      </c>
      <c r="L83" s="59"/>
      <c r="M83" s="59">
        <v>462000</v>
      </c>
      <c r="N83" s="59">
        <v>-315000</v>
      </c>
      <c r="O83" s="59"/>
      <c r="P83" s="59"/>
      <c r="Q83" s="59"/>
      <c r="R83" s="59"/>
      <c r="S83" s="59"/>
      <c r="T83" s="60">
        <f>125000-125000</f>
        <v>0</v>
      </c>
      <c r="U83" s="59">
        <f>260000-260000</f>
        <v>0</v>
      </c>
      <c r="V83" s="59"/>
      <c r="W83" s="59"/>
      <c r="X83" s="59">
        <f t="shared" si="20"/>
        <v>147000</v>
      </c>
      <c r="Y83" s="69">
        <f t="shared" si="19"/>
        <v>0</v>
      </c>
    </row>
    <row r="84" spans="1:26" s="77" customFormat="1" ht="42" customHeight="1">
      <c r="A84" s="1"/>
      <c r="B84" s="29"/>
      <c r="C84" s="55" t="s">
        <v>113</v>
      </c>
      <c r="D84" s="32">
        <f t="shared" si="16"/>
        <v>18707000</v>
      </c>
      <c r="E84" s="30"/>
      <c r="F84" s="25">
        <f t="shared" si="17"/>
        <v>18707000</v>
      </c>
      <c r="G84" s="32">
        <f>3000000+8600000+1000000+6107000</f>
        <v>18707000</v>
      </c>
      <c r="H84" s="32">
        <f>1400000+4300000+1082142+1437858+23357.42+1714649.98+3000000+31555.91+92107+2668598.4+1161297.6+55871.32+56576.61+554064</f>
        <v>17578078.240000002</v>
      </c>
      <c r="I84" s="46">
        <f>H84/D84*100</f>
        <v>93.96524424012402</v>
      </c>
      <c r="J84" s="67">
        <f t="shared" si="18"/>
        <v>94.36881000697913</v>
      </c>
      <c r="K84" s="52">
        <f t="shared" si="10"/>
        <v>7926421.759999998</v>
      </c>
      <c r="L84" s="59"/>
      <c r="M84" s="59"/>
      <c r="N84" s="59"/>
      <c r="O84" s="59">
        <v>80000</v>
      </c>
      <c r="P84" s="59">
        <f>-80000</f>
        <v>-80000</v>
      </c>
      <c r="Q84" s="59"/>
      <c r="R84" s="59">
        <v>1460000</v>
      </c>
      <c r="S84" s="59">
        <f>1460000+4300000-1000000+1000000</f>
        <v>5760000</v>
      </c>
      <c r="T84" s="60">
        <f>2000000+24000+1800000+3053500</f>
        <v>6877500</v>
      </c>
      <c r="U84" s="60">
        <f>1000000+1300000-24000-1800000+3053500</f>
        <v>3529500</v>
      </c>
      <c r="V84" s="60">
        <f>1000000</f>
        <v>1000000</v>
      </c>
      <c r="W84" s="60">
        <v>80000</v>
      </c>
      <c r="X84" s="59">
        <f t="shared" si="20"/>
        <v>18707000</v>
      </c>
      <c r="Y84" s="69">
        <f t="shared" si="19"/>
        <v>0</v>
      </c>
      <c r="Z84" s="60">
        <v>1000000</v>
      </c>
    </row>
    <row r="85" spans="1:25" s="77" customFormat="1" ht="40.5" customHeight="1">
      <c r="A85" s="1"/>
      <c r="B85" s="29"/>
      <c r="C85" s="31" t="s">
        <v>35</v>
      </c>
      <c r="D85" s="32">
        <f t="shared" si="16"/>
        <v>2188000</v>
      </c>
      <c r="E85" s="30"/>
      <c r="F85" s="25">
        <f t="shared" si="17"/>
        <v>2188000</v>
      </c>
      <c r="G85" s="32">
        <f>988000+1200000</f>
        <v>2188000</v>
      </c>
      <c r="H85" s="25">
        <f>286305.66+72060+594.73+601021.9+5516.59+658722</f>
        <v>1624220.88</v>
      </c>
      <c r="I85" s="46">
        <f>H85/D85*100</f>
        <v>74.23312979890311</v>
      </c>
      <c r="J85" s="67">
        <f t="shared" si="18"/>
        <v>82.10184325215685</v>
      </c>
      <c r="K85" s="52">
        <f t="shared" si="10"/>
        <v>354079.26000000024</v>
      </c>
      <c r="L85" s="59"/>
      <c r="M85" s="59">
        <v>400000</v>
      </c>
      <c r="N85" s="59">
        <v>588000</v>
      </c>
      <c r="O85" s="59"/>
      <c r="P85" s="59">
        <f>-28017.71+600000</f>
        <v>571982.29</v>
      </c>
      <c r="Q85" s="59">
        <v>65000</v>
      </c>
      <c r="R85" s="59">
        <f>600000-65000-181682.15</f>
        <v>353317.85</v>
      </c>
      <c r="S85" s="59"/>
      <c r="T85" s="60"/>
      <c r="U85" s="59"/>
      <c r="V85" s="59"/>
      <c r="W85" s="59">
        <f>28017.71+181682.15</f>
        <v>209699.86</v>
      </c>
      <c r="X85" s="59">
        <f t="shared" si="20"/>
        <v>2188000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36</v>
      </c>
      <c r="D86" s="32">
        <f t="shared" si="16"/>
        <v>254000</v>
      </c>
      <c r="E86" s="30"/>
      <c r="F86" s="25">
        <f t="shared" si="17"/>
        <v>254000</v>
      </c>
      <c r="G86" s="32">
        <f>314000+940000-1000000</f>
        <v>254000</v>
      </c>
      <c r="H86" s="25">
        <f>72317.85+39619.35+939.55</f>
        <v>112876.75000000001</v>
      </c>
      <c r="I86" s="46">
        <f>H86/D86*100</f>
        <v>44.439665354330714</v>
      </c>
      <c r="J86" s="67">
        <f t="shared" si="18"/>
        <v>44.439665354330714</v>
      </c>
      <c r="K86" s="52">
        <f t="shared" si="10"/>
        <v>141123.25</v>
      </c>
      <c r="L86" s="59"/>
      <c r="M86" s="59">
        <v>314000</v>
      </c>
      <c r="N86" s="59">
        <v>-60000</v>
      </c>
      <c r="O86" s="59">
        <f>940000-940000</f>
        <v>0</v>
      </c>
      <c r="P86" s="59">
        <f>-181682.15</f>
        <v>-181682.15</v>
      </c>
      <c r="Q86" s="59"/>
      <c r="R86" s="59">
        <f>181682.15</f>
        <v>181682.15</v>
      </c>
      <c r="S86" s="59"/>
      <c r="T86" s="60"/>
      <c r="U86" s="59"/>
      <c r="V86" s="59"/>
      <c r="W86" s="59">
        <f>181682.15-181682.15</f>
        <v>0</v>
      </c>
      <c r="X86" s="59">
        <f t="shared" si="20"/>
        <v>254000</v>
      </c>
      <c r="Y86" s="69">
        <f t="shared" si="19"/>
        <v>0</v>
      </c>
    </row>
    <row r="87" spans="1:25" s="77" customFormat="1" ht="39.75" customHeight="1">
      <c r="A87" s="1"/>
      <c r="B87" s="29"/>
      <c r="C87" s="55" t="s">
        <v>86</v>
      </c>
      <c r="D87" s="32">
        <f t="shared" si="16"/>
        <v>22050000</v>
      </c>
      <c r="E87" s="30"/>
      <c r="F87" s="25">
        <f t="shared" si="17"/>
        <v>22050000</v>
      </c>
      <c r="G87" s="32">
        <f>16000000+4000000+2050000</f>
        <v>22050000</v>
      </c>
      <c r="H87" s="25">
        <f>13429+7850000+306023.62+885285.6+1757858.8+137329.67+2000000+3430424.4+44980.76+1526696.4+20069.81+1128035.73+685593.6+10647.49+148666.8+4855.48+1000000+592454.4+7652.35</f>
        <v>21550003.91</v>
      </c>
      <c r="I87" s="46">
        <f>H87/D87*100</f>
        <v>97.73244403628118</v>
      </c>
      <c r="J87" s="67">
        <f t="shared" si="18"/>
        <v>97.73244403628118</v>
      </c>
      <c r="K87" s="52">
        <f t="shared" si="10"/>
        <v>1524996.0899999999</v>
      </c>
      <c r="L87" s="60"/>
      <c r="M87" s="60"/>
      <c r="N87" s="60">
        <f>700000+418000+500000</f>
        <v>1618000</v>
      </c>
      <c r="O87" s="60"/>
      <c r="P87" s="60">
        <v>6400000</v>
      </c>
      <c r="Q87" s="60">
        <f>1547800+940000-2487800+170000</f>
        <v>170000</v>
      </c>
      <c r="R87" s="60">
        <v>900000</v>
      </c>
      <c r="S87" s="60">
        <v>10912000</v>
      </c>
      <c r="T87" s="60">
        <f>1025000</f>
        <v>1025000</v>
      </c>
      <c r="U87" s="60">
        <f>1025000</f>
        <v>1025000</v>
      </c>
      <c r="V87" s="60">
        <v>0</v>
      </c>
      <c r="W87" s="60">
        <v>0</v>
      </c>
      <c r="X87" s="59">
        <f t="shared" si="20"/>
        <v>22050000</v>
      </c>
      <c r="Y87" s="69">
        <f t="shared" si="19"/>
        <v>0</v>
      </c>
    </row>
    <row r="88" spans="1:25" s="77" customFormat="1" ht="22.5" customHeight="1">
      <c r="A88" s="1"/>
      <c r="B88" s="29"/>
      <c r="C88" s="31" t="s">
        <v>37</v>
      </c>
      <c r="D88" s="32">
        <f t="shared" si="16"/>
        <v>137000</v>
      </c>
      <c r="E88" s="30"/>
      <c r="F88" s="25">
        <f t="shared" si="17"/>
        <v>137000</v>
      </c>
      <c r="G88" s="32">
        <f>837000-700000</f>
        <v>137000</v>
      </c>
      <c r="H88" s="25"/>
      <c r="I88" s="46"/>
      <c r="J88" s="67">
        <f t="shared" si="18"/>
        <v>0</v>
      </c>
      <c r="K88" s="52">
        <f t="shared" si="10"/>
        <v>137000</v>
      </c>
      <c r="L88" s="59"/>
      <c r="M88" s="59">
        <v>300000</v>
      </c>
      <c r="N88" s="59">
        <f>537000-700000</f>
        <v>-163000</v>
      </c>
      <c r="O88" s="59"/>
      <c r="P88" s="59">
        <f>-137000</f>
        <v>-137000</v>
      </c>
      <c r="Q88" s="59"/>
      <c r="R88" s="59">
        <f>137000</f>
        <v>137000</v>
      </c>
      <c r="S88" s="59"/>
      <c r="T88" s="60"/>
      <c r="U88" s="59"/>
      <c r="V88" s="59"/>
      <c r="W88" s="59">
        <f>137000-137000</f>
        <v>0</v>
      </c>
      <c r="X88" s="59">
        <f t="shared" si="20"/>
        <v>137000</v>
      </c>
      <c r="Y88" s="69">
        <f t="shared" si="19"/>
        <v>0</v>
      </c>
    </row>
    <row r="89" spans="1:25" s="77" customFormat="1" ht="38.25" customHeight="1">
      <c r="A89" s="1"/>
      <c r="B89" s="29"/>
      <c r="C89" s="31" t="s">
        <v>3</v>
      </c>
      <c r="D89" s="32">
        <f>F89</f>
        <v>400000</v>
      </c>
      <c r="E89" s="6"/>
      <c r="F89" s="25">
        <f t="shared" si="17"/>
        <v>400000</v>
      </c>
      <c r="G89" s="32">
        <f>900000-500000</f>
        <v>400000</v>
      </c>
      <c r="H89" s="25">
        <f>175429.5</f>
        <v>175429.5</v>
      </c>
      <c r="I89" s="25">
        <f aca="true" t="shared" si="21" ref="I89:I95">H89/D89*100</f>
        <v>43.857375</v>
      </c>
      <c r="J89" s="67">
        <f t="shared" si="18"/>
        <v>43.857375</v>
      </c>
      <c r="K89" s="52">
        <f t="shared" si="10"/>
        <v>424570.5</v>
      </c>
      <c r="L89" s="59"/>
      <c r="M89" s="59">
        <v>300000</v>
      </c>
      <c r="N89" s="59">
        <f>600000-500000</f>
        <v>100000</v>
      </c>
      <c r="O89" s="59"/>
      <c r="P89" s="59">
        <f>-192000-128000-80000</f>
        <v>-400000</v>
      </c>
      <c r="Q89" s="59">
        <v>128000</v>
      </c>
      <c r="R89" s="59">
        <f>70000+192000</f>
        <v>262000</v>
      </c>
      <c r="S89" s="59">
        <f>10000-200000</f>
        <v>-190000</v>
      </c>
      <c r="T89" s="60">
        <f>200000</f>
        <v>200000</v>
      </c>
      <c r="U89" s="59"/>
      <c r="V89" s="59"/>
      <c r="W89" s="59">
        <f>192000-192000</f>
        <v>0</v>
      </c>
      <c r="X89" s="59">
        <f t="shared" si="20"/>
        <v>400000</v>
      </c>
      <c r="Y89" s="69">
        <f t="shared" si="19"/>
        <v>0</v>
      </c>
    </row>
    <row r="90" spans="1:25" s="77" customFormat="1" ht="40.5" customHeight="1">
      <c r="A90" s="1"/>
      <c r="B90" s="29"/>
      <c r="C90" s="31" t="s">
        <v>4</v>
      </c>
      <c r="D90" s="32">
        <f>F90</f>
        <v>248000</v>
      </c>
      <c r="E90" s="6"/>
      <c r="F90" s="25">
        <f t="shared" si="17"/>
        <v>248000</v>
      </c>
      <c r="G90" s="25">
        <v>248000</v>
      </c>
      <c r="H90" s="25">
        <f>28474.8</f>
        <v>28474.8</v>
      </c>
      <c r="I90" s="25">
        <f t="shared" si="21"/>
        <v>11.481774193548388</v>
      </c>
      <c r="J90" s="67">
        <f t="shared" si="18"/>
        <v>35.154074074074074</v>
      </c>
      <c r="K90" s="52">
        <f t="shared" si="10"/>
        <v>62525.2</v>
      </c>
      <c r="L90" s="59"/>
      <c r="M90" s="59">
        <v>248000</v>
      </c>
      <c r="N90" s="59"/>
      <c r="O90" s="59"/>
      <c r="P90" s="59">
        <f>-167000-81000</f>
        <v>-248000</v>
      </c>
      <c r="Q90" s="59"/>
      <c r="R90" s="59"/>
      <c r="S90" s="59">
        <v>71000</v>
      </c>
      <c r="T90" s="60">
        <v>10000</v>
      </c>
      <c r="U90" s="59"/>
      <c r="V90" s="59"/>
      <c r="W90" s="59">
        <f>167000</f>
        <v>167000</v>
      </c>
      <c r="X90" s="59">
        <f t="shared" si="20"/>
        <v>248000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87</v>
      </c>
      <c r="D91" s="32">
        <f aca="true" t="shared" si="22" ref="D91:D99">F91</f>
        <v>10545999.2</v>
      </c>
      <c r="E91" s="6"/>
      <c r="F91" s="25">
        <f t="shared" si="17"/>
        <v>10545999.2</v>
      </c>
      <c r="G91" s="32">
        <f>13000000-2454000.8</f>
        <v>10545999.2</v>
      </c>
      <c r="H91" s="25">
        <f>5265.6+5180849.77</f>
        <v>5186115.369999999</v>
      </c>
      <c r="I91" s="25">
        <f t="shared" si="21"/>
        <v>49.17614036989496</v>
      </c>
      <c r="J91" s="67">
        <f t="shared" si="18"/>
        <v>51.222679696180684</v>
      </c>
      <c r="K91" s="52">
        <f aca="true" t="shared" si="23" ref="K91:K100">L91+M91+N91+O91+P91+Q91+R91+S91+T91+T91+U91+V91-H91</f>
        <v>3687771.130000001</v>
      </c>
      <c r="L91" s="60"/>
      <c r="M91" s="60"/>
      <c r="N91" s="60"/>
      <c r="O91" s="60">
        <v>20000</v>
      </c>
      <c r="P91" s="60"/>
      <c r="Q91" s="60">
        <f>6490000-2065000</f>
        <v>4425000</v>
      </c>
      <c r="R91" s="60">
        <f>65000-2067000-59854</f>
        <v>-2061854</v>
      </c>
      <c r="S91" s="60">
        <v>815400</v>
      </c>
      <c r="T91" s="60">
        <f>549239.76-1800000</f>
        <v>-1250760.24</v>
      </c>
      <c r="U91" s="60">
        <f>5037999.2+1800000</f>
        <v>6837999.2</v>
      </c>
      <c r="V91" s="60">
        <v>1338861.78</v>
      </c>
      <c r="W91" s="60">
        <v>421352.46</v>
      </c>
      <c r="X91" s="59">
        <f t="shared" si="20"/>
        <v>10545999.200000001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88</v>
      </c>
      <c r="D92" s="32">
        <f t="shared" si="22"/>
        <v>3585100</v>
      </c>
      <c r="E92" s="6"/>
      <c r="F92" s="25">
        <f t="shared" si="17"/>
        <v>3585100</v>
      </c>
      <c r="G92" s="32">
        <f>400000+3185100</f>
        <v>3585100</v>
      </c>
      <c r="H92" s="25">
        <f>142252.63+432941+1478765</f>
        <v>2053958.63</v>
      </c>
      <c r="I92" s="46">
        <f t="shared" si="21"/>
        <v>57.29152966444451</v>
      </c>
      <c r="J92" s="67">
        <f t="shared" si="18"/>
        <v>57.30347546747932</v>
      </c>
      <c r="K92" s="52">
        <f t="shared" si="23"/>
        <v>3599544</v>
      </c>
      <c r="L92" s="59"/>
      <c r="M92" s="59"/>
      <c r="N92" s="59"/>
      <c r="O92" s="59"/>
      <c r="P92" s="59">
        <f>120000-747.37+23000</f>
        <v>142252.63</v>
      </c>
      <c r="Q92" s="59">
        <f>140000-23000+2515950</f>
        <v>2632950</v>
      </c>
      <c r="R92" s="59">
        <v>-760000</v>
      </c>
      <c r="S92" s="59">
        <v>-1400000</v>
      </c>
      <c r="T92" s="60">
        <v>2069150</v>
      </c>
      <c r="U92" s="59">
        <f>900000-198000</f>
        <v>702000</v>
      </c>
      <c r="V92" s="59">
        <f>198000</f>
        <v>198000</v>
      </c>
      <c r="W92" s="59">
        <f>747.37</f>
        <v>747.37</v>
      </c>
      <c r="X92" s="59">
        <f t="shared" si="20"/>
        <v>3585100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89</v>
      </c>
      <c r="D93" s="32">
        <f t="shared" si="22"/>
        <v>300000</v>
      </c>
      <c r="E93" s="6"/>
      <c r="F93" s="25">
        <f t="shared" si="17"/>
        <v>300000</v>
      </c>
      <c r="G93" s="32">
        <v>300000</v>
      </c>
      <c r="H93" s="25">
        <f>81000+29133+189000</f>
        <v>299133</v>
      </c>
      <c r="I93" s="46">
        <f t="shared" si="21"/>
        <v>99.711</v>
      </c>
      <c r="J93" s="67">
        <f t="shared" si="18"/>
        <v>99.711</v>
      </c>
      <c r="K93" s="52">
        <f t="shared" si="23"/>
        <v>867</v>
      </c>
      <c r="L93" s="59"/>
      <c r="M93" s="59"/>
      <c r="N93" s="59"/>
      <c r="O93" s="59"/>
      <c r="P93" s="59">
        <v>111000</v>
      </c>
      <c r="Q93" s="59"/>
      <c r="R93" s="59">
        <f>100000-100000+100000</f>
        <v>100000</v>
      </c>
      <c r="S93" s="59">
        <f>100000-11000</f>
        <v>89000</v>
      </c>
      <c r="T93" s="60">
        <f>100000-100000</f>
        <v>0</v>
      </c>
      <c r="U93" s="59"/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90</v>
      </c>
      <c r="D94" s="32">
        <f t="shared" si="22"/>
        <v>300000</v>
      </c>
      <c r="E94" s="6"/>
      <c r="F94" s="25">
        <f t="shared" si="17"/>
        <v>300000</v>
      </c>
      <c r="G94" s="32">
        <v>300000</v>
      </c>
      <c r="H94" s="25">
        <f>81000+28897</f>
        <v>109897</v>
      </c>
      <c r="I94" s="46">
        <f t="shared" si="21"/>
        <v>36.632333333333335</v>
      </c>
      <c r="J94" s="67">
        <f t="shared" si="18"/>
        <v>36.632333333333335</v>
      </c>
      <c r="K94" s="52">
        <f t="shared" si="23"/>
        <v>280103</v>
      </c>
      <c r="L94" s="59"/>
      <c r="M94" s="59"/>
      <c r="N94" s="59"/>
      <c r="O94" s="59"/>
      <c r="P94" s="59">
        <v>110000</v>
      </c>
      <c r="Q94" s="59"/>
      <c r="R94" s="59"/>
      <c r="S94" s="59">
        <f>100000-100000</f>
        <v>0</v>
      </c>
      <c r="T94" s="60">
        <f>100000-10000</f>
        <v>90000</v>
      </c>
      <c r="U94" s="59">
        <v>100000</v>
      </c>
      <c r="V94" s="59"/>
      <c r="W94" s="59"/>
      <c r="X94" s="59">
        <f t="shared" si="20"/>
        <v>300000</v>
      </c>
      <c r="Y94" s="69">
        <f t="shared" si="19"/>
        <v>0</v>
      </c>
    </row>
    <row r="95" spans="1:25" s="77" customFormat="1" ht="40.5" customHeight="1">
      <c r="A95" s="1"/>
      <c r="B95" s="29"/>
      <c r="C95" s="55" t="s">
        <v>91</v>
      </c>
      <c r="D95" s="32">
        <f t="shared" si="22"/>
        <v>538000</v>
      </c>
      <c r="E95" s="6"/>
      <c r="F95" s="25">
        <f t="shared" si="17"/>
        <v>538000</v>
      </c>
      <c r="G95" s="32">
        <v>538000</v>
      </c>
      <c r="H95" s="25">
        <f>139785.59+164838.36+4545.63+134831.92+1999.26</f>
        <v>446000.76</v>
      </c>
      <c r="I95" s="46">
        <f t="shared" si="21"/>
        <v>82.89976951672863</v>
      </c>
      <c r="J95" s="67">
        <f t="shared" si="18"/>
        <v>82.89976951672863</v>
      </c>
      <c r="K95" s="52">
        <f t="shared" si="23"/>
        <v>271999.24</v>
      </c>
      <c r="L95" s="59"/>
      <c r="M95" s="59"/>
      <c r="N95" s="59"/>
      <c r="O95" s="59"/>
      <c r="P95" s="59"/>
      <c r="Q95" s="59">
        <v>160000</v>
      </c>
      <c r="R95" s="59">
        <v>189000</v>
      </c>
      <c r="S95" s="59">
        <v>-189000</v>
      </c>
      <c r="T95" s="60">
        <f>180000</f>
        <v>180000</v>
      </c>
      <c r="U95" s="59">
        <f>198000</f>
        <v>198000</v>
      </c>
      <c r="V95" s="59">
        <f>378000-180000-198000</f>
        <v>0</v>
      </c>
      <c r="W95" s="59"/>
      <c r="X95" s="59">
        <f t="shared" si="20"/>
        <v>538000</v>
      </c>
      <c r="Y95" s="69">
        <f t="shared" si="19"/>
        <v>0</v>
      </c>
    </row>
    <row r="96" spans="1:25" s="77" customFormat="1" ht="21" customHeight="1">
      <c r="A96" s="1"/>
      <c r="B96" s="29"/>
      <c r="C96" s="55" t="s">
        <v>92</v>
      </c>
      <c r="D96" s="32">
        <f t="shared" si="22"/>
        <v>5000</v>
      </c>
      <c r="E96" s="6"/>
      <c r="F96" s="25">
        <f t="shared" si="17"/>
        <v>5000</v>
      </c>
      <c r="G96" s="32">
        <v>5000</v>
      </c>
      <c r="H96" s="25"/>
      <c r="I96" s="46"/>
      <c r="J96" s="67">
        <f t="shared" si="18"/>
        <v>0</v>
      </c>
      <c r="K96" s="52">
        <f t="shared" si="23"/>
        <v>5000</v>
      </c>
      <c r="L96" s="59"/>
      <c r="M96" s="59"/>
      <c r="N96" s="59"/>
      <c r="O96" s="59"/>
      <c r="P96" s="59">
        <v>5000</v>
      </c>
      <c r="Q96" s="59"/>
      <c r="R96" s="59"/>
      <c r="S96" s="59"/>
      <c r="T96" s="60"/>
      <c r="U96" s="59"/>
      <c r="V96" s="59"/>
      <c r="W96" s="59"/>
      <c r="X96" s="59">
        <f t="shared" si="20"/>
        <v>5000</v>
      </c>
      <c r="Y96" s="69">
        <f t="shared" si="19"/>
        <v>0</v>
      </c>
    </row>
    <row r="97" spans="1:25" s="77" customFormat="1" ht="26.25" customHeight="1">
      <c r="A97" s="1"/>
      <c r="B97" s="29"/>
      <c r="C97" s="55" t="s">
        <v>93</v>
      </c>
      <c r="D97" s="32">
        <f t="shared" si="22"/>
        <v>20640</v>
      </c>
      <c r="E97" s="6"/>
      <c r="F97" s="25">
        <f t="shared" si="17"/>
        <v>20640</v>
      </c>
      <c r="G97" s="32">
        <v>20640</v>
      </c>
      <c r="H97" s="25"/>
      <c r="I97" s="46"/>
      <c r="J97" s="67">
        <f t="shared" si="18"/>
        <v>0</v>
      </c>
      <c r="K97" s="52">
        <f t="shared" si="23"/>
        <v>41280</v>
      </c>
      <c r="L97" s="59"/>
      <c r="M97" s="59"/>
      <c r="N97" s="59"/>
      <c r="O97" s="59"/>
      <c r="P97" s="59"/>
      <c r="Q97" s="59"/>
      <c r="R97" s="59"/>
      <c r="S97" s="59"/>
      <c r="T97" s="60">
        <v>20640</v>
      </c>
      <c r="U97" s="59"/>
      <c r="V97" s="59"/>
      <c r="W97" s="59"/>
      <c r="X97" s="59">
        <f t="shared" si="20"/>
        <v>20640</v>
      </c>
      <c r="Y97" s="69">
        <f t="shared" si="19"/>
        <v>0</v>
      </c>
    </row>
    <row r="98" spans="1:25" s="77" customFormat="1" ht="22.5" customHeight="1">
      <c r="A98" s="1"/>
      <c r="B98" s="29"/>
      <c r="C98" s="56" t="s">
        <v>94</v>
      </c>
      <c r="D98" s="32">
        <f t="shared" si="22"/>
        <v>250000</v>
      </c>
      <c r="E98" s="6"/>
      <c r="F98" s="25">
        <f t="shared" si="17"/>
        <v>250000</v>
      </c>
      <c r="G98" s="32">
        <v>250000</v>
      </c>
      <c r="H98" s="25">
        <f>40894.59</f>
        <v>40894.59</v>
      </c>
      <c r="I98" s="46">
        <f>H98/D98*100</f>
        <v>16.357836</v>
      </c>
      <c r="J98" s="67">
        <f t="shared" si="18"/>
        <v>16.357836</v>
      </c>
      <c r="K98" s="52">
        <f t="shared" si="23"/>
        <v>459105.41000000003</v>
      </c>
      <c r="L98" s="59"/>
      <c r="M98" s="59"/>
      <c r="N98" s="59"/>
      <c r="O98" s="59"/>
      <c r="P98" s="59"/>
      <c r="Q98" s="59"/>
      <c r="R98" s="59"/>
      <c r="S98" s="59"/>
      <c r="T98" s="60">
        <v>250000</v>
      </c>
      <c r="U98" s="59"/>
      <c r="V98" s="59"/>
      <c r="W98" s="59"/>
      <c r="X98" s="59">
        <f t="shared" si="20"/>
        <v>250000</v>
      </c>
      <c r="Y98" s="69">
        <f t="shared" si="19"/>
        <v>0</v>
      </c>
    </row>
    <row r="99" spans="1:25" s="77" customFormat="1" ht="22.5" customHeight="1">
      <c r="A99" s="1"/>
      <c r="B99" s="29"/>
      <c r="C99" s="55" t="s">
        <v>95</v>
      </c>
      <c r="D99" s="32">
        <f t="shared" si="22"/>
        <v>2050000</v>
      </c>
      <c r="E99" s="6"/>
      <c r="F99" s="25">
        <f t="shared" si="17"/>
        <v>2050000</v>
      </c>
      <c r="G99" s="32">
        <f>50000+2000000</f>
        <v>2050000</v>
      </c>
      <c r="H99" s="25"/>
      <c r="I99" s="46"/>
      <c r="J99" s="67">
        <f t="shared" si="18"/>
        <v>0</v>
      </c>
      <c r="K99" s="52">
        <f t="shared" si="23"/>
        <v>1181074.46</v>
      </c>
      <c r="L99" s="59"/>
      <c r="M99" s="59"/>
      <c r="N99" s="59"/>
      <c r="O99" s="59"/>
      <c r="P99" s="59"/>
      <c r="Q99" s="59"/>
      <c r="R99" s="59"/>
      <c r="S99" s="59"/>
      <c r="T99" s="60">
        <v>50000</v>
      </c>
      <c r="U99" s="59"/>
      <c r="V99" s="59">
        <v>1081074.46</v>
      </c>
      <c r="W99" s="59">
        <v>918925.54</v>
      </c>
      <c r="X99" s="59">
        <f t="shared" si="20"/>
        <v>2050000</v>
      </c>
      <c r="Y99" s="69">
        <f t="shared" si="19"/>
        <v>0</v>
      </c>
    </row>
    <row r="100" spans="1:25" ht="18.75">
      <c r="A100" s="33"/>
      <c r="B100" s="18"/>
      <c r="C100" s="34" t="s">
        <v>9</v>
      </c>
      <c r="D100" s="20">
        <f>D8+D50</f>
        <v>293375523.69</v>
      </c>
      <c r="E100" s="20">
        <f>E8+E50</f>
        <v>44702112.690000005</v>
      </c>
      <c r="F100" s="20">
        <f>F8+F50</f>
        <v>248673411</v>
      </c>
      <c r="G100" s="20">
        <f>G8+G50</f>
        <v>248673411</v>
      </c>
      <c r="H100" s="20">
        <f>H8+H50</f>
        <v>220942801.21000004</v>
      </c>
      <c r="I100" s="44">
        <f>H100/D100*100</f>
        <v>75.31057752570484</v>
      </c>
      <c r="J100" s="44">
        <f>H100/(L100+M100+N100+O100+P100+Q100+R100+S100+T100+U100+V100)*100</f>
        <v>82.90028770541788</v>
      </c>
      <c r="K100" s="52">
        <f t="shared" si="23"/>
        <v>84565066.63999987</v>
      </c>
      <c r="L100" s="20">
        <f aca="true" t="shared" si="24" ref="L100:X100">L8+L25+L51</f>
        <v>112816</v>
      </c>
      <c r="M100" s="20">
        <f t="shared" si="24"/>
        <v>3716000</v>
      </c>
      <c r="N100" s="20">
        <f t="shared" si="24"/>
        <v>13054000</v>
      </c>
      <c r="O100" s="20">
        <f t="shared" si="24"/>
        <v>23577301.990000002</v>
      </c>
      <c r="P100" s="20">
        <f t="shared" si="24"/>
        <v>25112943.939999998</v>
      </c>
      <c r="Q100" s="20">
        <f t="shared" si="24"/>
        <v>23349655.380000003</v>
      </c>
      <c r="R100" s="20">
        <f t="shared" si="24"/>
        <v>31654418.01</v>
      </c>
      <c r="S100" s="20">
        <f t="shared" si="24"/>
        <v>46593908.06</v>
      </c>
      <c r="T100" s="20">
        <f t="shared" si="24"/>
        <v>38991541.64</v>
      </c>
      <c r="U100" s="20">
        <f t="shared" si="24"/>
        <v>35148965.41</v>
      </c>
      <c r="V100" s="20">
        <f t="shared" si="24"/>
        <v>25204775.779999997</v>
      </c>
      <c r="W100" s="20">
        <f t="shared" si="24"/>
        <v>26869131.86</v>
      </c>
      <c r="X100" s="20">
        <f t="shared" si="24"/>
        <v>293385458.07</v>
      </c>
      <c r="Y100" s="69">
        <f>D100-X100</f>
        <v>-9934.379999995232</v>
      </c>
    </row>
    <row r="101" spans="1:25" ht="18.75" hidden="1">
      <c r="A101" s="38" t="s">
        <v>38</v>
      </c>
      <c r="B101" s="39"/>
      <c r="C101" s="40"/>
      <c r="D101" s="41"/>
      <c r="E101" s="41"/>
      <c r="F101" s="41"/>
      <c r="G101" s="41"/>
      <c r="K101" s="52">
        <f>L101+M101+N101+O101+P101+Q101+R101-H101</f>
        <v>0</v>
      </c>
      <c r="Y101" s="69">
        <f t="shared" si="19"/>
        <v>0</v>
      </c>
    </row>
    <row r="102" spans="1:25" ht="18.75" hidden="1">
      <c r="A102" s="2"/>
      <c r="B102" s="35"/>
      <c r="C102" s="36"/>
      <c r="D102" s="3"/>
      <c r="E102" s="35"/>
      <c r="F102" s="35"/>
      <c r="K102" s="52">
        <f>L102+M102+N102+O102+P102+Q102+R102-H102</f>
        <v>0</v>
      </c>
      <c r="Y102" s="69">
        <f t="shared" si="19"/>
        <v>0</v>
      </c>
    </row>
  </sheetData>
  <sheetProtection/>
  <mergeCells count="28">
    <mergeCell ref="M4:M5"/>
    <mergeCell ref="N4:N5"/>
    <mergeCell ref="O4:O5"/>
    <mergeCell ref="P4:P5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A7:I7"/>
    <mergeCell ref="L4:L5"/>
    <mergeCell ref="K4:K5"/>
    <mergeCell ref="J4:J6"/>
    <mergeCell ref="A49:I49"/>
    <mergeCell ref="A1:H1"/>
    <mergeCell ref="A2:H2"/>
    <mergeCell ref="H4:H5"/>
    <mergeCell ref="A4:A5"/>
    <mergeCell ref="C4:C5"/>
    <mergeCell ref="D4:D5"/>
    <mergeCell ref="E4:E5"/>
    <mergeCell ref="F4:F5"/>
    <mergeCell ref="I4:I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2016-11-18T13:35:22Z</dcterms:modified>
  <cp:category/>
  <cp:version/>
  <cp:contentType/>
  <cp:contentStatus/>
</cp:coreProperties>
</file>